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<sst xmlns="http://schemas.openxmlformats.org/spreadsheetml/2006/main" count="1626" uniqueCount="268">
  <si>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</si>
  <si>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</si>
  <si>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</si>
  <si>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</si>
  <si>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</si>
  <si>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</si>
  <si>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</si>
  <si>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</si>
  <si>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</si>
  <si>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</si>
  <si>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</si>
  <si>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</si>
  <si>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</si>
  <si>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</si>
  <si>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</si>
  <si>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</si>
  <si>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</si>
  <si>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</si>
  <si>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</si>
  <si>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</si>
  <si>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</si>
  <si>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</si>
  <si>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</si>
  <si>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</si>
  <si>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</si>
  <si>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</si>
  <si>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</si>
  <si>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</si>
  <si>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</si>
  <si>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</si>
  <si>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</si>
  <si>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</si>
  <si>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</si>
  <si>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</si>
  <si>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</si>
  <si>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</si>
  <si>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</si>
  <si>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</si>
  <si>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</si>
  <si>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</si>
  <si>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</si>
  <si>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</si>
  <si>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</si>
  <si>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</si>
  <si>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</si>
  <si>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</si>
  <si>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</si>
  <si>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</si>
  <si>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</si>
  <si>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</si>
  <si>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</si>
  <si>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</si>
  <si>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</si>
  <si>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</si>
  <si>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</si>
  <si>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</si>
  <si>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</si>
  <si>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</si>
  <si>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</si>
  <si>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</si>
  <si>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</si>
  <si>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</si>
  <si>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</si>
  <si>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</si>
  <si>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</si>
  <si>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</si>
  <si>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</si>
  <si>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</si>
  <si>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</si>
  <si>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</si>
  <si>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</si>
  <si>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</si>
  <si>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</si>
  <si>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</si>
  <si>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</si>
  <si>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</si>
  <si>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</si>
  <si>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</si>
  <si>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</si>
  <si>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</si>
  <si>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</si>
  <si>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</si>
  <si>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</si>
  <si>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</si>
  <si>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</si>
  <si>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</si>
  <si>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</si>
  <si>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</si>
  <si>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</si>
  <si>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</si>
  <si>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</si>
  <si>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</si>
  <si>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</si>
  <si>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</si>
  <si>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</si>
  <si>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</si>
  <si>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</si>
  <si>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</si>
  <si>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</si>
  <si>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</si>
  <si>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</si>
  <si>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</si>
  <si>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</si>
  <si>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</si>
  <si>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</si>
  <si>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</si>
  <si>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</si>
  <si>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</si>
  <si>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</si>
  <si>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</si>
  <si>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</si>
  <si>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</si>
  <si>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</si>
  <si>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</si>
  <si>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</si>
  <si>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</si>
  <si>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</si>
  <si>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</si>
  <si>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</si>
  <si>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</si>
  <si>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</si>
  <si>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</si>
  <si>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</si>
  <si>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</si>
  <si>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</si>
  <si>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</si>
  <si>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</si>
  <si>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</si>
  <si>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</si>
  <si>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</si>
  <si>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</si>
  <si>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</si>
  <si>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</si>
  <si>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</si>
  <si>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</si>
  <si>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</si>
  <si>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</si>
  <si>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</si>
  <si>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</si>
  <si>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</si>
  <si>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</si>
  <si>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</si>
  <si>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</si>
  <si>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</si>
  <si>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</si>
  <si>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</si>
  <si>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</si>
  <si>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</si>
  <si>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</si>
  <si>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</si>
  <si>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</si>
  <si>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</si>
  <si>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</si>
  <si>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</si>
  <si>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</si>
  <si>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</si>
  <si>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</si>
  <si>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</si>
  <si>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</si>
  <si>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</si>
  <si>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</si>
  <si>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</si>
  <si>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</si>
  <si>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</si>
  <si>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</si>
  <si>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</si>
  <si>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</si>
  <si>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</si>
  <si>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</si>
  <si>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</si>
  <si>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</si>
  <si>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</si>
  <si>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</si>
  <si>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</si>
  <si>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</si>
  <si>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</si>
  <si>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</si>
  <si>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</si>
  <si>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</si>
  <si>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</si>
  <si>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</si>
  <si>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</si>
  <si>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</si>
  <si>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</si>
  <si>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</si>
  <si>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</si>
  <si>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</si>
  <si>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</si>
  <si>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</si>
  <si>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</si>
  <si>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</si>
  <si>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</si>
  <si>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</si>
  <si>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</si>
  <si>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</si>
  <si>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</si>
  <si>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</si>
  <si>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</si>
  <si>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</si>
  <si>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</si>
  <si>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</si>
  <si>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</si>
  <si>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</si>
  <si>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</si>
  <si>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</si>
  <si>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</si>
  <si>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</si>
  <si>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</si>
  <si>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</si>
  <si>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</si>
  <si>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</si>
  <si>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</si>
  <si>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</si>
  <si>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</si>
  <si>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</si>
  <si>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</si>
  <si>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</si>
  <si>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</si>
  <si>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</si>
  <si>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</si>
  <si>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</si>
  <si>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</si>
  <si>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</si>
  <si>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</si>
  <si>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</si>
  <si>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</si>
  <si>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</si>
  <si>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</si>
  <si>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</si>
  <si>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</si>
  <si>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</si>
  <si>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</si>
  <si>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</si>
  <si>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</si>
  <si>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</si>
  <si>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</si>
  <si>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</si>
  <si>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</si>
  <si>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</si>
  <si>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</si>
  <si>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</si>
  <si>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</si>
  <si>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</si>
  <si>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</si>
  <si>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</si>
  <si>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</si>
  <si>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</si>
  <si>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</si>
  <si>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</si>
  <si>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</si>
  <si>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</si>
  <si>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</si>
  <si>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</si>
  <si>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</si>
  <si>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</si>
  <si>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</si>
  <si>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</si>
  <si>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</si>
  <si>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</si>
  <si>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</si>
  <si>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</si>
  <si>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</si>
  <si>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</si>
  <si>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</si>
  <si>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</si>
  <si>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</si>
  <si>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26.08.2014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</si>
  <si>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22.08.14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</si>
</sst>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8"/>
      <sheetName val="депозит"/>
      <sheetName val="залишки  (2)"/>
      <sheetName val="надх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8">
          <cell r="G8">
            <v>0</v>
          </cell>
        </row>
        <row r="9">
          <cell r="G9">
            <v>13829857.96</v>
          </cell>
        </row>
      </sheetData>
      <sheetData sheetId="13">
        <row r="52">
          <cell r="B52">
            <v>19862121.87999999</v>
          </cell>
        </row>
      </sheetData>
      <sheetData sheetId="19">
        <row r="28">
          <cell r="C28">
            <v>4870376.3</v>
          </cell>
        </row>
      </sheetData>
      <sheetData sheetId="20">
        <row r="28">
          <cell r="C28">
            <v>3219411</v>
          </cell>
        </row>
      </sheetData>
      <sheetData sheetId="21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47" sqref="G147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9" t="s">
        <v>266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261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259</v>
      </c>
      <c r="H4" s="184" t="s">
        <v>260</v>
      </c>
      <c r="I4" s="186" t="s">
        <v>188</v>
      </c>
      <c r="J4" s="188" t="s">
        <v>189</v>
      </c>
      <c r="K4" s="190" t="s">
        <v>264</v>
      </c>
      <c r="L4" s="191"/>
      <c r="M4" s="167"/>
      <c r="N4" s="198" t="s">
        <v>267</v>
      </c>
      <c r="O4" s="186" t="s">
        <v>136</v>
      </c>
      <c r="P4" s="186" t="s">
        <v>135</v>
      </c>
      <c r="Q4" s="190" t="s">
        <v>265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258</v>
      </c>
      <c r="F5" s="181"/>
      <c r="G5" s="183"/>
      <c r="H5" s="185"/>
      <c r="I5" s="187"/>
      <c r="J5" s="189"/>
      <c r="K5" s="192"/>
      <c r="L5" s="193"/>
      <c r="M5" s="151" t="s">
        <v>262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298046.61000000004</v>
      </c>
      <c r="G8" s="22">
        <f aca="true" t="shared" si="0" ref="G8:G30">F8-E8</f>
        <v>-13966.77999999997</v>
      </c>
      <c r="H8" s="51">
        <f>F8/E8*100</f>
        <v>95.52366005830713</v>
      </c>
      <c r="I8" s="36">
        <f aca="true" t="shared" si="1" ref="I8:I17">F8-D8</f>
        <v>-190429.68999999994</v>
      </c>
      <c r="J8" s="36">
        <f aca="true" t="shared" si="2" ref="J8:J14">F8/D8*100</f>
        <v>61.01557230105126</v>
      </c>
      <c r="K8" s="36">
        <f>F8-306776.9</f>
        <v>-8730.289999999979</v>
      </c>
      <c r="L8" s="136">
        <f>F8/306776.9</f>
        <v>0.971541892495817</v>
      </c>
      <c r="M8" s="22">
        <f>M10+M19+M33+M56+M68+M30</f>
        <v>40778.67999999999</v>
      </c>
      <c r="N8" s="22">
        <f>N10+N19+N33+N56+N68+N30</f>
        <v>28921.33000000002</v>
      </c>
      <c r="O8" s="36">
        <f aca="true" t="shared" si="3" ref="O8:O71">N8-M8</f>
        <v>-11857.349999999973</v>
      </c>
      <c r="P8" s="36">
        <f>F8/M8*100</f>
        <v>730.888322034946</v>
      </c>
      <c r="Q8" s="36">
        <f>N8-38892.4</f>
        <v>-9971.069999999982</v>
      </c>
      <c r="R8" s="134">
        <f>N8/38892.4</f>
        <v>0.7436242042147057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243935.64</v>
      </c>
      <c r="G9" s="22">
        <f t="shared" si="0"/>
        <v>243935.64</v>
      </c>
      <c r="H9" s="20"/>
      <c r="I9" s="56">
        <f t="shared" si="1"/>
        <v>-143077.56</v>
      </c>
      <c r="J9" s="56">
        <f t="shared" si="2"/>
        <v>63.03031524506141</v>
      </c>
      <c r="K9" s="56"/>
      <c r="L9" s="135"/>
      <c r="M9" s="20">
        <f>M10+M17</f>
        <v>33764.899999999994</v>
      </c>
      <c r="N9" s="20">
        <f>N10+N17</f>
        <v>26050.02000000002</v>
      </c>
      <c r="O9" s="36">
        <f t="shared" si="3"/>
        <v>-7714.879999999976</v>
      </c>
      <c r="P9" s="56">
        <f>F9/M9*100</f>
        <v>722.4533169060179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40">
        <v>243935.64</v>
      </c>
      <c r="G10" s="49">
        <f t="shared" si="0"/>
        <v>-11200.359999999986</v>
      </c>
      <c r="H10" s="40">
        <f aca="true" t="shared" si="4" ref="H10:H17">F10/E10*100</f>
        <v>95.61004327103977</v>
      </c>
      <c r="I10" s="56">
        <f t="shared" si="1"/>
        <v>-143077.56</v>
      </c>
      <c r="J10" s="56">
        <f t="shared" si="2"/>
        <v>63.03031524506141</v>
      </c>
      <c r="K10" s="141">
        <f>F10-242707.3</f>
        <v>1228.3400000000256</v>
      </c>
      <c r="L10" s="142">
        <f>F10/242707.3</f>
        <v>1.0050609932210528</v>
      </c>
      <c r="M10" s="40">
        <f>E10-липень!E10</f>
        <v>33764.899999999994</v>
      </c>
      <c r="N10" s="40">
        <f>F10-липень!F10</f>
        <v>26050.02000000002</v>
      </c>
      <c r="O10" s="53">
        <f t="shared" si="3"/>
        <v>-7714.879999999976</v>
      </c>
      <c r="P10" s="56">
        <f aca="true" t="shared" si="5" ref="P10:P17">N10/M10*100</f>
        <v>77.15118362559943</v>
      </c>
      <c r="Q10" s="141">
        <f>N10-31381.5</f>
        <v>-5331.479999999981</v>
      </c>
      <c r="R10" s="142">
        <f>N10/31381.5</f>
        <v>0.8301075474403715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40">
        <v>50.22</v>
      </c>
      <c r="G19" s="49">
        <f t="shared" si="0"/>
        <v>-995.3799999999999</v>
      </c>
      <c r="H19" s="40">
        <f aca="true" t="shared" si="6" ref="H19:H29">F19/E19*100</f>
        <v>4.802983932670238</v>
      </c>
      <c r="I19" s="56">
        <f aca="true" t="shared" si="7" ref="I19:I29">F19-D19</f>
        <v>-949.78</v>
      </c>
      <c r="J19" s="56">
        <f aca="true" t="shared" si="8" ref="J19:J29">F19/D19*100</f>
        <v>5.022</v>
      </c>
      <c r="K19" s="56">
        <f>F19-6117.2</f>
        <v>-6066.98</v>
      </c>
      <c r="L19" s="135">
        <f>F19/6117.2</f>
        <v>0.008209638396652064</v>
      </c>
      <c r="M19" s="40">
        <f>E19-липень!E19</f>
        <v>12</v>
      </c>
      <c r="N19" s="40">
        <f>F19-липень!F19</f>
        <v>-299.15999999999997</v>
      </c>
      <c r="O19" s="53">
        <f t="shared" si="3"/>
        <v>-311.15999999999997</v>
      </c>
      <c r="P19" s="56">
        <f aca="true" t="shared" si="9" ref="P19:P29">N19/M19*100</f>
        <v>-2492.9999999999995</v>
      </c>
      <c r="Q19" s="56">
        <f>N19-74.4</f>
        <v>-373.55999999999995</v>
      </c>
      <c r="R19" s="135">
        <f>N19/74.4</f>
        <v>-4.0209677419354835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46">
        <v>550.64</v>
      </c>
      <c r="G29" s="49">
        <f t="shared" si="0"/>
        <v>-234.96000000000004</v>
      </c>
      <c r="H29" s="40">
        <f t="shared" si="6"/>
        <v>70.09164969450102</v>
      </c>
      <c r="I29" s="56">
        <f t="shared" si="7"/>
        <v>-379.36</v>
      </c>
      <c r="J29" s="56">
        <f t="shared" si="8"/>
        <v>59.20860215053764</v>
      </c>
      <c r="K29" s="148">
        <f>F29-2498.05</f>
        <v>-1947.4100000000003</v>
      </c>
      <c r="L29" s="149">
        <f>F29/2498.05</f>
        <v>0.2204279337883549</v>
      </c>
      <c r="M29" s="40">
        <f>E29-липень!E29</f>
        <v>52</v>
      </c>
      <c r="N29" s="40">
        <f>F29-липень!F29</f>
        <v>-300</v>
      </c>
      <c r="O29" s="148">
        <f t="shared" si="3"/>
        <v>-352</v>
      </c>
      <c r="P29" s="145">
        <f t="shared" si="9"/>
        <v>-576.9230769230769</v>
      </c>
      <c r="Q29" s="148">
        <f>N29-74.37</f>
        <v>-374.37</v>
      </c>
      <c r="R29" s="149">
        <f>N29/74.37</f>
        <v>-4.033884630899556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40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40">
        <v>49785.26</v>
      </c>
      <c r="G33" s="49">
        <f aca="true" t="shared" si="14" ref="G33:G72">F33-E33</f>
        <v>-1515.5299999999988</v>
      </c>
      <c r="H33" s="40">
        <f aca="true" t="shared" si="15" ref="H33:H67">F33/E33*100</f>
        <v>97.04579598091959</v>
      </c>
      <c r="I33" s="56">
        <f>F33-D33</f>
        <v>-43780.74</v>
      </c>
      <c r="J33" s="56">
        <f aca="true" t="shared" si="16" ref="J33:J72">F33/D33*100</f>
        <v>53.20870829147341</v>
      </c>
      <c r="K33" s="141">
        <f>F33-53788.3</f>
        <v>-4003.040000000001</v>
      </c>
      <c r="L33" s="142">
        <f>F33/53788.3</f>
        <v>0.9255778673057151</v>
      </c>
      <c r="M33" s="40">
        <f>E33-липень!E33</f>
        <v>6439.68</v>
      </c>
      <c r="N33" s="40">
        <f>F33-липень!F33</f>
        <v>2683.0999999999985</v>
      </c>
      <c r="O33" s="53">
        <f t="shared" si="3"/>
        <v>-3756.5800000000017</v>
      </c>
      <c r="P33" s="56">
        <f aca="true" t="shared" si="17" ref="P33:P67">N33/M33*100</f>
        <v>41.66511379447424</v>
      </c>
      <c r="Q33" s="141">
        <f>N33-6951.4</f>
        <v>-4268.300000000001</v>
      </c>
      <c r="R33" s="142">
        <f>N33/6951.4</f>
        <v>0.3859798026296859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46">
        <v>37078.43</v>
      </c>
      <c r="G55" s="144">
        <f t="shared" si="14"/>
        <v>-712.0599999999977</v>
      </c>
      <c r="H55" s="146">
        <f t="shared" si="15"/>
        <v>98.1157693377355</v>
      </c>
      <c r="I55" s="145">
        <f t="shared" si="18"/>
        <v>-33187.57</v>
      </c>
      <c r="J55" s="145">
        <f t="shared" si="16"/>
        <v>52.768664788090966</v>
      </c>
      <c r="K55" s="148">
        <f>F55-38852.08</f>
        <v>-1773.6500000000015</v>
      </c>
      <c r="L55" s="149">
        <f>F55/38852.08</f>
        <v>0.95434864748554</v>
      </c>
      <c r="M55" s="40">
        <f>E55-липень!E55</f>
        <v>4679.68</v>
      </c>
      <c r="N55" s="40">
        <f>F55-липень!F55</f>
        <v>2195.529999999999</v>
      </c>
      <c r="O55" s="148">
        <f t="shared" si="3"/>
        <v>-2484.1500000000015</v>
      </c>
      <c r="P55" s="148">
        <f t="shared" si="17"/>
        <v>46.916242136214414</v>
      </c>
      <c r="Q55" s="163">
        <f>N55-5157.94</f>
        <v>-2962.4100000000008</v>
      </c>
      <c r="R55" s="164">
        <f>N55/5157.94</f>
        <v>0.42566024420602006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40">
        <f>1.51+4269.64</f>
        <v>4271.150000000001</v>
      </c>
      <c r="G56" s="49">
        <f t="shared" si="14"/>
        <v>-232.7499999999991</v>
      </c>
      <c r="H56" s="40">
        <f t="shared" si="15"/>
        <v>94.83225648882082</v>
      </c>
      <c r="I56" s="56">
        <f t="shared" si="18"/>
        <v>-2588.8499999999995</v>
      </c>
      <c r="J56" s="56">
        <f t="shared" si="16"/>
        <v>62.26166180758018</v>
      </c>
      <c r="K56" s="56">
        <f>F56-4138.3</f>
        <v>132.85000000000036</v>
      </c>
      <c r="L56" s="135">
        <f>F56/4138.3</f>
        <v>1.0321025541889182</v>
      </c>
      <c r="M56" s="40">
        <f>E56-липень!E56</f>
        <v>553.5999999999995</v>
      </c>
      <c r="N56" s="40">
        <f>F56-липень!F56</f>
        <v>487.38000000000056</v>
      </c>
      <c r="O56" s="53">
        <f t="shared" si="3"/>
        <v>-66.21999999999889</v>
      </c>
      <c r="P56" s="56">
        <f t="shared" si="17"/>
        <v>88.03829479768805</v>
      </c>
      <c r="Q56" s="56">
        <f>N56-484.9</f>
        <v>2.4800000000005866</v>
      </c>
      <c r="R56" s="135">
        <f>N56/484.9</f>
        <v>1.0051144565889887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F68-0.7</f>
        <v>0.33000000000000007</v>
      </c>
      <c r="L68" s="135"/>
      <c r="M68" s="40">
        <f>E68-липень!E68</f>
        <v>0</v>
      </c>
      <c r="N68" s="40">
        <f>F68-липень!F68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8419.74</v>
      </c>
      <c r="G74" s="50">
        <f aca="true" t="shared" si="24" ref="G74:G92">F74-E74</f>
        <v>-2179.76</v>
      </c>
      <c r="H74" s="51">
        <f aca="true" t="shared" si="25" ref="H74:H87">F74/E74*100</f>
        <v>79.43525638001793</v>
      </c>
      <c r="I74" s="36">
        <f aca="true" t="shared" si="26" ref="I74:I92">F74-D74</f>
        <v>-9938.56</v>
      </c>
      <c r="J74" s="36">
        <f aca="true" t="shared" si="27" ref="J74:J92">F74/D74*100</f>
        <v>45.86339693762495</v>
      </c>
      <c r="K74" s="36">
        <f>F74-12962.5</f>
        <v>-4542.76</v>
      </c>
      <c r="L74" s="136">
        <f>F74/12962.5</f>
        <v>0.6495459980713597</v>
      </c>
      <c r="M74" s="22">
        <f>M77+M86+M88+M89+M94+M95+M96+M97+M99+M87+M104</f>
        <v>1620.5</v>
      </c>
      <c r="N74" s="22">
        <f>N77+N86+N88+N89+N94+N95+N96+N97+N99+N32+N104+N87+N103</f>
        <v>975.5999999999998</v>
      </c>
      <c r="O74" s="55">
        <f aca="true" t="shared" si="28" ref="O74:O92">N74-M74</f>
        <v>-644.9000000000002</v>
      </c>
      <c r="P74" s="36">
        <f>N74/M74*100</f>
        <v>60.203640851589</v>
      </c>
      <c r="Q74" s="36">
        <f>N74-1702.6</f>
        <v>-727.0000000000001</v>
      </c>
      <c r="R74" s="136">
        <f>N74/1702.6</f>
        <v>0.5730059908375424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57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56">
        <f>F77-1694.5</f>
        <v>-1571.05</v>
      </c>
      <c r="L77" s="135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57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F86-2152</f>
        <v>-2152</v>
      </c>
      <c r="L86" s="135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F87-198</f>
        <v>16.580000000000013</v>
      </c>
      <c r="L87" s="135">
        <f>F87/198</f>
        <v>1.0837373737373739</v>
      </c>
      <c r="M87" s="40">
        <f>E87-липень!E87</f>
        <v>0</v>
      </c>
      <c r="N87" s="40">
        <f>F87-липень!F87</f>
        <v>0</v>
      </c>
      <c r="O87" s="53">
        <f t="shared" si="28"/>
        <v>0</v>
      </c>
      <c r="P87" s="56" t="e">
        <f t="shared" si="29"/>
        <v>#DIV/0!</v>
      </c>
      <c r="Q87" s="56">
        <f>N87-8.3</f>
        <v>-8.3</v>
      </c>
      <c r="R87" s="135">
        <f>N87/8.3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57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57">
        <v>81.85</v>
      </c>
      <c r="G89" s="49">
        <f t="shared" si="24"/>
        <v>-32.150000000000006</v>
      </c>
      <c r="H89" s="40">
        <f>F89/E89*100</f>
        <v>71.79824561403508</v>
      </c>
      <c r="I89" s="56">
        <f t="shared" si="26"/>
        <v>-93.15</v>
      </c>
      <c r="J89" s="56">
        <f t="shared" si="27"/>
        <v>46.77142857142857</v>
      </c>
      <c r="K89" s="56">
        <f>F89-108.5</f>
        <v>-26.650000000000006</v>
      </c>
      <c r="L89" s="135">
        <f>F89/108.5</f>
        <v>0.7543778801843317</v>
      </c>
      <c r="M89" s="40">
        <f>E89-липень!E89</f>
        <v>15</v>
      </c>
      <c r="N89" s="40">
        <f>F89-липень!F89</f>
        <v>3.6099999999999994</v>
      </c>
      <c r="O89" s="53">
        <f t="shared" si="28"/>
        <v>-11.39</v>
      </c>
      <c r="P89" s="56">
        <f>N89/M89*100</f>
        <v>24.066666666666663</v>
      </c>
      <c r="Q89" s="56">
        <f>N89-14.5</f>
        <v>-10.89</v>
      </c>
      <c r="R89" s="135">
        <f>N89/14.5</f>
        <v>0.24896551724137927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57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57">
        <v>614.04</v>
      </c>
      <c r="G96" s="49">
        <f t="shared" si="31"/>
        <v>-80.46000000000004</v>
      </c>
      <c r="H96" s="40">
        <f>F96/E96*100</f>
        <v>88.41468682505399</v>
      </c>
      <c r="I96" s="56">
        <f t="shared" si="32"/>
        <v>-585.96</v>
      </c>
      <c r="J96" s="56">
        <f>F96/D96*100</f>
        <v>51.169999999999995</v>
      </c>
      <c r="K96" s="56">
        <f>F96-693.4</f>
        <v>-79.36000000000001</v>
      </c>
      <c r="L96" s="135">
        <f>F96/693.4</f>
        <v>0.8855494663974618</v>
      </c>
      <c r="M96" s="40">
        <f>E96-липень!E96</f>
        <v>90</v>
      </c>
      <c r="N96" s="40">
        <f>F96-липень!F96</f>
        <v>82.63</v>
      </c>
      <c r="O96" s="53">
        <f t="shared" si="33"/>
        <v>-7.3700000000000045</v>
      </c>
      <c r="P96" s="56">
        <f>N96/M96*100</f>
        <v>91.8111111111111</v>
      </c>
      <c r="Q96" s="56">
        <f>N96-90.8</f>
        <v>-8.170000000000002</v>
      </c>
      <c r="R96" s="135">
        <f>N96/90.8</f>
        <v>0.910022026431718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57">
        <v>2625.99</v>
      </c>
      <c r="G99" s="49">
        <f t="shared" si="31"/>
        <v>28.98999999999978</v>
      </c>
      <c r="H99" s="40">
        <f>F99/E99*100</f>
        <v>101.11628802464381</v>
      </c>
      <c r="I99" s="56">
        <f t="shared" si="32"/>
        <v>-1946.71</v>
      </c>
      <c r="J99" s="56">
        <f>F99/D99*100</f>
        <v>57.42755921009469</v>
      </c>
      <c r="K99" s="56">
        <f>F99-2979.1</f>
        <v>-353.1100000000001</v>
      </c>
      <c r="L99" s="135">
        <f>F99/2979.1</f>
        <v>0.8814709140344399</v>
      </c>
      <c r="M99" s="40">
        <f>E99-липень!E99</f>
        <v>410</v>
      </c>
      <c r="N99" s="40">
        <f>F99-липень!F99</f>
        <v>279.89999999999964</v>
      </c>
      <c r="O99" s="53">
        <f t="shared" si="33"/>
        <v>-130.10000000000036</v>
      </c>
      <c r="P99" s="56">
        <f>N99/M99*100</f>
        <v>68.26829268292674</v>
      </c>
      <c r="Q99" s="56">
        <f>N99-355.4</f>
        <v>-75.50000000000034</v>
      </c>
      <c r="R99" s="135">
        <f>N99/355.4</f>
        <v>0.7875633089476636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614.4</v>
      </c>
      <c r="G102" s="144"/>
      <c r="H102" s="146"/>
      <c r="I102" s="145"/>
      <c r="J102" s="145"/>
      <c r="K102" s="148">
        <f>F102-421.2</f>
        <v>193.2</v>
      </c>
      <c r="L102" s="149">
        <f>F102/421.2</f>
        <v>1.4586894586894588</v>
      </c>
      <c r="M102" s="40">
        <f>E102-липень!E102</f>
        <v>0</v>
      </c>
      <c r="N102" s="40">
        <f>F102-липень!F102</f>
        <v>144.5</v>
      </c>
      <c r="O102" s="53"/>
      <c r="P102" s="60"/>
      <c r="Q102" s="60">
        <f>N102-95.6</f>
        <v>48.900000000000006</v>
      </c>
      <c r="R102" s="138">
        <f>N102/95.6</f>
        <v>1.5115062761506277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57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306483.95</v>
      </c>
      <c r="G107" s="50">
        <f>F107-E107</f>
        <v>-16150.140000000014</v>
      </c>
      <c r="H107" s="51">
        <f>F107/E107*100</f>
        <v>94.99428594169946</v>
      </c>
      <c r="I107" s="36">
        <f t="shared" si="34"/>
        <v>-200395.64999999997</v>
      </c>
      <c r="J107" s="36">
        <f t="shared" si="36"/>
        <v>60.46484214397265</v>
      </c>
      <c r="K107" s="36">
        <f>F107-319755.3</f>
        <v>-13271.349999999977</v>
      </c>
      <c r="L107" s="136">
        <f>F107/319755.3</f>
        <v>0.9584952931194574</v>
      </c>
      <c r="M107" s="22">
        <f>M8+M74+M105+M106</f>
        <v>42402.17999999999</v>
      </c>
      <c r="N107" s="22">
        <f>N8+N74+N105+N106</f>
        <v>29899.02000000002</v>
      </c>
      <c r="O107" s="55">
        <f t="shared" si="35"/>
        <v>-12503.159999999974</v>
      </c>
      <c r="P107" s="36">
        <f>N107/M107*100</f>
        <v>70.51293117476513</v>
      </c>
      <c r="Q107" s="36">
        <f>N107-40595</f>
        <v>-10695.979999999981</v>
      </c>
      <c r="R107" s="136">
        <f>N107/40595</f>
        <v>0.7365197684443902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244549.68000000002</v>
      </c>
      <c r="G108" s="71">
        <f>G10-G18+G96</f>
        <v>-11280.819999999985</v>
      </c>
      <c r="H108" s="72">
        <f>F108/E108*100</f>
        <v>95.59051012291341</v>
      </c>
      <c r="I108" s="52">
        <f t="shared" si="34"/>
        <v>-143663.52</v>
      </c>
      <c r="J108" s="52">
        <f t="shared" si="36"/>
        <v>62.99365400249142</v>
      </c>
      <c r="K108" s="52">
        <f>F108-243489.6</f>
        <v>1060.0800000000163</v>
      </c>
      <c r="L108" s="137">
        <f>F108/243489.6</f>
        <v>1.0043536972420999</v>
      </c>
      <c r="M108" s="71">
        <f>M10-M18+M96</f>
        <v>33854.899999999994</v>
      </c>
      <c r="N108" s="71">
        <f>N10-N18+N96</f>
        <v>26132.65000000002</v>
      </c>
      <c r="O108" s="53">
        <f t="shared" si="35"/>
        <v>-7722.2499999999745</v>
      </c>
      <c r="P108" s="52">
        <f>N108/M108*100</f>
        <v>77.19015563478263</v>
      </c>
      <c r="Q108" s="52">
        <f>N108-31472.4</f>
        <v>-5339.749999999982</v>
      </c>
      <c r="R108" s="137">
        <f>N108/31472.4</f>
        <v>0.8303354685375128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61934.26999999999</v>
      </c>
      <c r="G109" s="62">
        <f>F109-E109</f>
        <v>-4869.320000000036</v>
      </c>
      <c r="H109" s="72">
        <f>F109/E109*100</f>
        <v>92.71099053209561</v>
      </c>
      <c r="I109" s="52">
        <f t="shared" si="34"/>
        <v>-56732.129999999976</v>
      </c>
      <c r="J109" s="52">
        <f t="shared" si="36"/>
        <v>52.19191784700641</v>
      </c>
      <c r="K109" s="52">
        <f>F109-76265.7</f>
        <v>-14331.430000000008</v>
      </c>
      <c r="L109" s="137">
        <f>F109/76265.7</f>
        <v>0.8120855115733546</v>
      </c>
      <c r="M109" s="71">
        <f>M107-M108</f>
        <v>8547.279999999999</v>
      </c>
      <c r="N109" s="71">
        <f>N107-N108</f>
        <v>3766.369999999999</v>
      </c>
      <c r="O109" s="53">
        <f t="shared" si="35"/>
        <v>-4780.91</v>
      </c>
      <c r="P109" s="52">
        <f>N109/M109*100</f>
        <v>44.06512949148734</v>
      </c>
      <c r="Q109" s="52">
        <f>N109-9122.6</f>
        <v>-5356.230000000001</v>
      </c>
      <c r="R109" s="137">
        <f>N109/9122.6</f>
        <v>0.4128614649332426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244549.68000000002</v>
      </c>
      <c r="G110" s="111">
        <f>F110-E110</f>
        <v>-5910.919999999984</v>
      </c>
      <c r="H110" s="72">
        <f>F110/E110*100</f>
        <v>97.63998010066256</v>
      </c>
      <c r="I110" s="81">
        <f t="shared" si="34"/>
        <v>-143663.52</v>
      </c>
      <c r="J110" s="52">
        <f t="shared" si="36"/>
        <v>62.99365400249142</v>
      </c>
      <c r="K110" s="52"/>
      <c r="L110" s="137"/>
      <c r="M110" s="72">
        <f>E110-липень!E110</f>
        <v>33854.899999999994</v>
      </c>
      <c r="N110" s="71">
        <f>N108</f>
        <v>26132.65000000002</v>
      </c>
      <c r="O110" s="63">
        <f t="shared" si="35"/>
        <v>-7722.2499999999745</v>
      </c>
      <c r="P110" s="52">
        <f>N110/M110*100</f>
        <v>77.19015563478263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32">
        <v>937.57</v>
      </c>
      <c r="G115" s="49">
        <f t="shared" si="37"/>
        <v>-1414.5299999999997</v>
      </c>
      <c r="H115" s="40">
        <f aca="true" t="shared" si="39" ref="H115:H126">F115/E115*100</f>
        <v>39.860975298669274</v>
      </c>
      <c r="I115" s="60">
        <f t="shared" si="38"/>
        <v>-2733.93</v>
      </c>
      <c r="J115" s="60">
        <f aca="true" t="shared" si="40" ref="J115:J121">F115/D115*100</f>
        <v>25.53642925234918</v>
      </c>
      <c r="K115" s="60">
        <f>F115-2927.1</f>
        <v>-1989.5299999999997</v>
      </c>
      <c r="L115" s="138">
        <f>F115/2927.1</f>
        <v>0.32030678828875</v>
      </c>
      <c r="M115" s="40">
        <f>E115-липень!E115</f>
        <v>327.5</v>
      </c>
      <c r="N115" s="40">
        <f>F115-липень!F115</f>
        <v>124.22000000000003</v>
      </c>
      <c r="O115" s="53">
        <f aca="true" t="shared" si="41" ref="O115:O126">N115-M115</f>
        <v>-203.27999999999997</v>
      </c>
      <c r="P115" s="60">
        <f>N115/M115*100</f>
        <v>37.92977099236642</v>
      </c>
      <c r="Q115" s="60">
        <f>N115-728.3</f>
        <v>-604.0799999999999</v>
      </c>
      <c r="R115" s="138">
        <f>N115/728.3</f>
        <v>0.17056158176575592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3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38">
        <f>SUM(F114:F116)</f>
        <v>1143.93</v>
      </c>
      <c r="G117" s="62">
        <f t="shared" si="37"/>
        <v>-1386.6699999999998</v>
      </c>
      <c r="H117" s="72">
        <f t="shared" si="39"/>
        <v>45.203904212439745</v>
      </c>
      <c r="I117" s="61">
        <f t="shared" si="38"/>
        <v>-2795.67</v>
      </c>
      <c r="J117" s="61">
        <f t="shared" si="40"/>
        <v>29.03670423393238</v>
      </c>
      <c r="K117" s="61">
        <f>F117-3123.4</f>
        <v>-1979.47</v>
      </c>
      <c r="L117" s="139">
        <f>F117/3123.4</f>
        <v>0.3662451175001601</v>
      </c>
      <c r="M117" s="62">
        <f>M115+M116+M114</f>
        <v>349.5</v>
      </c>
      <c r="N117" s="38">
        <f>SUM(N114:N116)</f>
        <v>148.38000000000002</v>
      </c>
      <c r="O117" s="61">
        <f t="shared" si="41"/>
        <v>-201.11999999999998</v>
      </c>
      <c r="P117" s="61">
        <f>N117/M117*100</f>
        <v>42.4549356223176</v>
      </c>
      <c r="Q117" s="61">
        <f>N117-757.4</f>
        <v>-609.02</v>
      </c>
      <c r="R117" s="139">
        <f>N117/757.4</f>
        <v>0.1959070504357011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273.48</v>
      </c>
      <c r="G119" s="49">
        <f t="shared" si="37"/>
        <v>90.98000000000002</v>
      </c>
      <c r="H119" s="40">
        <f t="shared" si="39"/>
        <v>149.85205479452054</v>
      </c>
      <c r="I119" s="60">
        <f t="shared" si="38"/>
        <v>6.28000000000003</v>
      </c>
      <c r="J119" s="60">
        <f t="shared" si="40"/>
        <v>102.35029940119762</v>
      </c>
      <c r="K119" s="60">
        <f>F119-173.1</f>
        <v>100.38000000000002</v>
      </c>
      <c r="L119" s="138">
        <f>F119/173.1</f>
        <v>1.5798960138648181</v>
      </c>
      <c r="M119" s="40">
        <f>E119-липень!E119</f>
        <v>0</v>
      </c>
      <c r="N119" s="40">
        <f>F119-липень!F119</f>
        <v>14.410000000000025</v>
      </c>
      <c r="O119" s="53">
        <f>N119-M119</f>
        <v>14.410000000000025</v>
      </c>
      <c r="P119" s="60" t="e">
        <f>N119/M119*100</f>
        <v>#DIV/0!</v>
      </c>
      <c r="Q119" s="60">
        <f>N119-0.4</f>
        <v>14.010000000000025</v>
      </c>
      <c r="R119" s="138">
        <f>N119/0.4</f>
        <v>36.02500000000006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33">
        <v>55777.27</v>
      </c>
      <c r="G120" s="49">
        <f t="shared" si="37"/>
        <v>6364.669999999998</v>
      </c>
      <c r="H120" s="40">
        <f t="shared" si="39"/>
        <v>112.88066201738019</v>
      </c>
      <c r="I120" s="53">
        <f t="shared" si="38"/>
        <v>-16198.720000000008</v>
      </c>
      <c r="J120" s="60">
        <f t="shared" si="40"/>
        <v>77.49427274289661</v>
      </c>
      <c r="K120" s="60">
        <f>F120-47624.2</f>
        <v>8153.07</v>
      </c>
      <c r="L120" s="138">
        <f>F120/47624.2</f>
        <v>1.171195946598578</v>
      </c>
      <c r="M120" s="40">
        <f>E120-липень!E120</f>
        <v>8100</v>
      </c>
      <c r="N120" s="40">
        <f>F120-липень!F120</f>
        <v>9567.539999999994</v>
      </c>
      <c r="O120" s="53">
        <f t="shared" si="41"/>
        <v>1467.5399999999936</v>
      </c>
      <c r="P120" s="60">
        <f aca="true" t="shared" si="42" ref="P120:P125">N120/M120*100</f>
        <v>118.1177777777777</v>
      </c>
      <c r="Q120" s="60">
        <f>N120-7964.9</f>
        <v>1602.639999999994</v>
      </c>
      <c r="R120" s="138">
        <f>N120/7964.9</f>
        <v>1.2012128212532478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33">
        <v>1754.64</v>
      </c>
      <c r="G121" s="49">
        <f t="shared" si="37"/>
        <v>31.6400000000001</v>
      </c>
      <c r="H121" s="40">
        <f t="shared" si="39"/>
        <v>101.83633197910622</v>
      </c>
      <c r="I121" s="60">
        <f t="shared" si="38"/>
        <v>-2995.3599999999997</v>
      </c>
      <c r="J121" s="60">
        <f t="shared" si="40"/>
        <v>36.939789473684215</v>
      </c>
      <c r="K121" s="60">
        <f>F121-1122.3</f>
        <v>632.3400000000001</v>
      </c>
      <c r="L121" s="138">
        <f>F121/1122.3</f>
        <v>1.5634322373696874</v>
      </c>
      <c r="M121" s="40">
        <f>E121-липень!E121</f>
        <v>40</v>
      </c>
      <c r="N121" s="40">
        <f>F121-липень!F121</f>
        <v>76.50999999999999</v>
      </c>
      <c r="O121" s="53">
        <f t="shared" si="41"/>
        <v>36.50999999999999</v>
      </c>
      <c r="P121" s="60">
        <f t="shared" si="42"/>
        <v>191.27499999999998</v>
      </c>
      <c r="Q121" s="60">
        <f>N121-1.4</f>
        <v>75.10999999999999</v>
      </c>
      <c r="R121" s="138">
        <f>N121/1.4</f>
        <v>54.65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33">
        <v>2269.47</v>
      </c>
      <c r="G122" s="49">
        <f t="shared" si="37"/>
        <v>-7344.530000000001</v>
      </c>
      <c r="H122" s="40">
        <f t="shared" si="39"/>
        <v>23.605887247763675</v>
      </c>
      <c r="I122" s="60">
        <f t="shared" si="38"/>
        <v>-20808.53</v>
      </c>
      <c r="J122" s="60">
        <f>F122/D122*100</f>
        <v>9.833911084149404</v>
      </c>
      <c r="K122" s="60">
        <f>F122-14737.3</f>
        <v>-12467.83</v>
      </c>
      <c r="L122" s="138">
        <f>F122/14737.3</f>
        <v>0.1539949651564398</v>
      </c>
      <c r="M122" s="40">
        <f>E122-липень!E122</f>
        <v>2381.5</v>
      </c>
      <c r="N122" s="40">
        <f>F122-липень!F122</f>
        <v>33.5</v>
      </c>
      <c r="O122" s="53">
        <f t="shared" si="41"/>
        <v>-2348</v>
      </c>
      <c r="P122" s="60">
        <f t="shared" si="42"/>
        <v>1.4066764644131848</v>
      </c>
      <c r="Q122" s="60">
        <f>N122-560</f>
        <v>-526.5</v>
      </c>
      <c r="R122" s="138">
        <f>N122/560</f>
        <v>0.059821428571428574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33">
        <v>764.62</v>
      </c>
      <c r="G123" s="49">
        <f t="shared" si="37"/>
        <v>-477.0100000000001</v>
      </c>
      <c r="H123" s="40">
        <f t="shared" si="39"/>
        <v>61.581952755651834</v>
      </c>
      <c r="I123" s="60">
        <f t="shared" si="38"/>
        <v>-1235.38</v>
      </c>
      <c r="J123" s="60">
        <f>F123/D123*100</f>
        <v>38.231</v>
      </c>
      <c r="K123" s="60">
        <f>F123-1640.1</f>
        <v>-875.4799999999999</v>
      </c>
      <c r="L123" s="138">
        <f>F123/1640.1</f>
        <v>0.46620328028778735</v>
      </c>
      <c r="M123" s="40">
        <f>E123-липень!E123</f>
        <v>189.59000000000015</v>
      </c>
      <c r="N123" s="40">
        <f>F123-липень!F123</f>
        <v>0.39999999999997726</v>
      </c>
      <c r="O123" s="53">
        <f t="shared" si="41"/>
        <v>-189.19000000000017</v>
      </c>
      <c r="P123" s="60">
        <f t="shared" si="42"/>
        <v>0.21098159185609838</v>
      </c>
      <c r="Q123" s="60">
        <f>N123-290.7</f>
        <v>-290.3</v>
      </c>
      <c r="R123" s="138">
        <f>N123/290.7</f>
        <v>0.0013759889920879852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38">
        <f>F120+F121+F122+F123+F119</f>
        <v>60839.48</v>
      </c>
      <c r="G124" s="62">
        <f t="shared" si="37"/>
        <v>-1334.2499999999927</v>
      </c>
      <c r="H124" s="72">
        <f t="shared" si="39"/>
        <v>97.85399717855114</v>
      </c>
      <c r="I124" s="61">
        <f t="shared" si="38"/>
        <v>-41231.71</v>
      </c>
      <c r="J124" s="61">
        <f>F124/D124*100</f>
        <v>59.604948271887494</v>
      </c>
      <c r="K124" s="61">
        <f>F124-65296.9</f>
        <v>-4457.419999999998</v>
      </c>
      <c r="L124" s="139">
        <f>F124/65296.9</f>
        <v>0.9317361161096469</v>
      </c>
      <c r="M124" s="62">
        <f>M120+M121+M122+M123+M119</f>
        <v>10711.09</v>
      </c>
      <c r="N124" s="62">
        <f>N120+N121+N122+N123+N119</f>
        <v>9692.359999999993</v>
      </c>
      <c r="O124" s="61">
        <f t="shared" si="41"/>
        <v>-1018.7300000000068</v>
      </c>
      <c r="P124" s="61">
        <f t="shared" si="42"/>
        <v>90.48901652399516</v>
      </c>
      <c r="Q124" s="61">
        <f>N124-8817.5</f>
        <v>874.8599999999933</v>
      </c>
      <c r="R124" s="139">
        <f>N124/8817.5</f>
        <v>1.0992185993762398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33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33">
        <v>7363.45</v>
      </c>
      <c r="G128" s="49">
        <f aca="true" t="shared" si="43" ref="G128:G135">F128-E128</f>
        <v>645.9499999999998</v>
      </c>
      <c r="H128" s="40">
        <f>F128/E128*100</f>
        <v>109.61592854484554</v>
      </c>
      <c r="I128" s="60">
        <f aca="true" t="shared" si="44" ref="I128:I135">F128-D128</f>
        <v>-1336.5500000000002</v>
      </c>
      <c r="J128" s="60">
        <f>F128/D128*100</f>
        <v>84.63735632183908</v>
      </c>
      <c r="K128" s="60">
        <f>F128-8680.2</f>
        <v>-1316.750000000001</v>
      </c>
      <c r="L128" s="138">
        <f>F128/8680.2</f>
        <v>0.8483041865394806</v>
      </c>
      <c r="M128" s="40">
        <f>E128-липень!E128</f>
        <v>1702</v>
      </c>
      <c r="N128" s="40">
        <f>F128-липень!F128</f>
        <v>2055.2799999999997</v>
      </c>
      <c r="O128" s="53">
        <f aca="true" t="shared" si="45" ref="O128:O135">N128-M128</f>
        <v>353.27999999999975</v>
      </c>
      <c r="P128" s="60">
        <f>N128/M128*100</f>
        <v>120.75675675675674</v>
      </c>
      <c r="Q128" s="60">
        <f>N128-2359.4</f>
        <v>-304.12000000000035</v>
      </c>
      <c r="R128" s="162">
        <f>N128/2359.4</f>
        <v>0.8711028227515468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0.73</v>
      </c>
      <c r="G129" s="49">
        <f t="shared" si="43"/>
        <v>0.73</v>
      </c>
      <c r="H129" s="40"/>
      <c r="I129" s="60">
        <f t="shared" si="44"/>
        <v>0.73</v>
      </c>
      <c r="J129" s="60"/>
      <c r="K129" s="60">
        <f>F129-0.3</f>
        <v>0.43</v>
      </c>
      <c r="L129" s="138">
        <f>F129/0.3</f>
        <v>2.4333333333333336</v>
      </c>
      <c r="M129" s="40">
        <f>E129-липень!E129</f>
        <v>0</v>
      </c>
      <c r="N129" s="40">
        <f>F129-липень!F129</f>
        <v>0.20999999999999996</v>
      </c>
      <c r="O129" s="53">
        <f t="shared" si="45"/>
        <v>0.20999999999999996</v>
      </c>
      <c r="P129" s="60"/>
      <c r="Q129" s="60">
        <f>N129-0.4</f>
        <v>-0.19000000000000006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38">
        <f>F128+F125+F129+F127</f>
        <v>7397.829999999999</v>
      </c>
      <c r="G130" s="62">
        <f t="shared" si="43"/>
        <v>649.9699999999993</v>
      </c>
      <c r="H130" s="72">
        <f>F130/E130*100</f>
        <v>109.63223896168562</v>
      </c>
      <c r="I130" s="61">
        <f t="shared" si="44"/>
        <v>-1352.8700000000017</v>
      </c>
      <c r="J130" s="61">
        <f>F130/D130*100</f>
        <v>84.53986538219797</v>
      </c>
      <c r="K130" s="61">
        <f>F130-8800.6</f>
        <v>-1402.7700000000013</v>
      </c>
      <c r="L130" s="139">
        <f>G130/8800.6</f>
        <v>0.0738551916914755</v>
      </c>
      <c r="M130" s="62">
        <f>M125+M128+M129+M127</f>
        <v>1706</v>
      </c>
      <c r="N130" s="62">
        <f>N125+N128+N129+N127</f>
        <v>2055.49</v>
      </c>
      <c r="O130" s="61">
        <f t="shared" si="45"/>
        <v>349.4899999999998</v>
      </c>
      <c r="P130" s="61">
        <f>N130/M130*100</f>
        <v>120.48593200468932</v>
      </c>
      <c r="Q130" s="61">
        <f>N130-2362.3</f>
        <v>-306.8100000000004</v>
      </c>
      <c r="R130" s="137">
        <f>N130/2362.3</f>
        <v>0.8701223383990178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33">
        <v>22.4</v>
      </c>
      <c r="G131" s="49">
        <f>F131-E131</f>
        <v>5.949999999999999</v>
      </c>
      <c r="H131" s="40">
        <f>F131/E131*100</f>
        <v>136.17021276595744</v>
      </c>
      <c r="I131" s="60">
        <f>F131-D131</f>
        <v>-7.600000000000001</v>
      </c>
      <c r="J131" s="60">
        <f>F131/D131*100</f>
        <v>74.66666666666666</v>
      </c>
      <c r="K131" s="60">
        <f>F131-17.7</f>
        <v>4.699999999999999</v>
      </c>
      <c r="L131" s="138">
        <f>F131/17.7</f>
        <v>1.2655367231638417</v>
      </c>
      <c r="M131" s="40">
        <f>E131-липень!E131</f>
        <v>0.3999999999999986</v>
      </c>
      <c r="N131" s="40">
        <f>F131-липень!F131</f>
        <v>0</v>
      </c>
      <c r="O131" s="53">
        <f>N131-M131</f>
        <v>-0.3999999999999986</v>
      </c>
      <c r="P131" s="60">
        <f>N131/M131*100</f>
        <v>0</v>
      </c>
      <c r="Q131" s="60">
        <f>N131-0.5</f>
        <v>-0.5</v>
      </c>
      <c r="R131" s="138">
        <f>N131/0.5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69403.64</v>
      </c>
      <c r="G134" s="50">
        <f t="shared" si="43"/>
        <v>-2065</v>
      </c>
      <c r="H134" s="51">
        <f>F134/E134*100</f>
        <v>97.11062082614137</v>
      </c>
      <c r="I134" s="36">
        <f t="shared" si="44"/>
        <v>-45387.850000000006</v>
      </c>
      <c r="J134" s="36">
        <f>F134/D134*100</f>
        <v>60.46061428421218</v>
      </c>
      <c r="K134" s="36">
        <f>F134-77238.6</f>
        <v>-7834.960000000006</v>
      </c>
      <c r="L134" s="136">
        <f>F134/77238.6</f>
        <v>0.898561600029001</v>
      </c>
      <c r="M134" s="31">
        <f>M117+M131+M124+M130+M133+M132</f>
        <v>12766.99</v>
      </c>
      <c r="N134" s="31">
        <f>N117+N131+N124+N130+N133+N132</f>
        <v>11896.229999999992</v>
      </c>
      <c r="O134" s="36">
        <f t="shared" si="45"/>
        <v>-870.7600000000075</v>
      </c>
      <c r="P134" s="36">
        <f>N134/M134*100</f>
        <v>93.17959832348888</v>
      </c>
      <c r="Q134" s="36">
        <f>N134-11937.6</f>
        <v>-41.370000000008076</v>
      </c>
      <c r="R134" s="136">
        <f>N134/11937.6</f>
        <v>0.9965344792923194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375887.59</v>
      </c>
      <c r="G135" s="50">
        <f t="shared" si="43"/>
        <v>-18215.140000000014</v>
      </c>
      <c r="H135" s="51">
        <f>F135/E135*100</f>
        <v>95.3780731232184</v>
      </c>
      <c r="I135" s="36">
        <f t="shared" si="44"/>
        <v>-245783.49999999994</v>
      </c>
      <c r="J135" s="36">
        <f>F135/D135*100</f>
        <v>60.464061470189975</v>
      </c>
      <c r="K135" s="36">
        <f>F135-396993.9</f>
        <v>-21106.309999999998</v>
      </c>
      <c r="L135" s="136">
        <f>F135/396993.9</f>
        <v>0.9468346742859273</v>
      </c>
      <c r="M135" s="22">
        <f>M107+M134</f>
        <v>55169.16999999999</v>
      </c>
      <c r="N135" s="22">
        <f>N107+N134</f>
        <v>41795.250000000015</v>
      </c>
      <c r="O135" s="36">
        <f t="shared" si="45"/>
        <v>-13373.919999999976</v>
      </c>
      <c r="P135" s="36">
        <f>N135/M135*100</f>
        <v>75.75834474218122</v>
      </c>
      <c r="Q135" s="36">
        <f>N135-52532.5</f>
        <v>-10737.249999999985</v>
      </c>
      <c r="R135" s="136">
        <f>N135/52532.5</f>
        <v>0.7956074810831393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4</v>
      </c>
      <c r="D137" s="4" t="s">
        <v>118</v>
      </c>
    </row>
    <row r="138" spans="2:17" ht="31.5">
      <c r="B138" s="78" t="s">
        <v>154</v>
      </c>
      <c r="C138" s="39">
        <f>IF(O107&lt;0,ABS(O107/C137),0)</f>
        <v>3125.7899999999936</v>
      </c>
      <c r="D138" s="4" t="s">
        <v>104</v>
      </c>
      <c r="G138" s="194"/>
      <c r="H138" s="194"/>
      <c r="I138" s="194"/>
      <c r="J138" s="194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41873</v>
      </c>
      <c r="D139" s="39">
        <v>3494.4</v>
      </c>
      <c r="N139" s="195"/>
      <c r="O139" s="195"/>
    </row>
    <row r="140" spans="3:15" ht="15.75">
      <c r="C140" s="120">
        <v>41872</v>
      </c>
      <c r="D140" s="39">
        <v>1961.1</v>
      </c>
      <c r="F140" s="4" t="s">
        <v>166</v>
      </c>
      <c r="G140" s="196" t="s">
        <v>151</v>
      </c>
      <c r="H140" s="196"/>
      <c r="I140" s="115">
        <v>13829.857960000001</v>
      </c>
      <c r="J140" s="197" t="s">
        <v>161</v>
      </c>
      <c r="K140" s="197"/>
      <c r="L140" s="197"/>
      <c r="M140" s="197"/>
      <c r="N140" s="195"/>
      <c r="O140" s="195"/>
    </row>
    <row r="141" spans="3:15" ht="15.75">
      <c r="C141" s="120">
        <v>41871</v>
      </c>
      <c r="D141" s="39">
        <v>1788.7</v>
      </c>
      <c r="G141" s="200" t="s">
        <v>155</v>
      </c>
      <c r="H141" s="200"/>
      <c r="I141" s="112">
        <v>0</v>
      </c>
      <c r="J141" s="201" t="s">
        <v>162</v>
      </c>
      <c r="K141" s="201"/>
      <c r="L141" s="201"/>
      <c r="M141" s="201"/>
      <c r="N141" s="195"/>
      <c r="O141" s="195"/>
    </row>
    <row r="142" spans="7:13" ht="15.75" customHeight="1">
      <c r="G142" s="196" t="s">
        <v>148</v>
      </c>
      <c r="H142" s="196"/>
      <c r="I142" s="112">
        <v>0</v>
      </c>
      <c r="J142" s="197" t="s">
        <v>163</v>
      </c>
      <c r="K142" s="197"/>
      <c r="L142" s="197"/>
      <c r="M142" s="197"/>
    </row>
    <row r="143" spans="2:13" ht="18.75" customHeight="1">
      <c r="B143" s="202" t="s">
        <v>160</v>
      </c>
      <c r="C143" s="203"/>
      <c r="D143" s="117">
        <v>128573.23195999999</v>
      </c>
      <c r="E143" s="80"/>
      <c r="F143" s="100" t="s">
        <v>147</v>
      </c>
      <c r="G143" s="196" t="s">
        <v>149</v>
      </c>
      <c r="H143" s="196"/>
      <c r="I143" s="116">
        <v>114743.374</v>
      </c>
      <c r="J143" s="197" t="s">
        <v>164</v>
      </c>
      <c r="K143" s="197"/>
      <c r="L143" s="197"/>
      <c r="M143" s="197"/>
    </row>
    <row r="144" spans="7:12" ht="9.75" customHeight="1">
      <c r="G144" s="204"/>
      <c r="H144" s="204"/>
      <c r="I144" s="98"/>
      <c r="J144" s="99"/>
      <c r="K144" s="99"/>
      <c r="L144" s="99"/>
    </row>
    <row r="145" spans="2:12" ht="22.5" customHeight="1">
      <c r="B145" s="205" t="s">
        <v>169</v>
      </c>
      <c r="C145" s="206"/>
      <c r="D145" s="119">
        <v>19862.12187999999</v>
      </c>
      <c r="E145" s="77" t="s">
        <v>104</v>
      </c>
      <c r="G145" s="204"/>
      <c r="H145" s="204"/>
      <c r="I145" s="98"/>
      <c r="J145" s="99"/>
      <c r="K145" s="99"/>
      <c r="L145" s="99"/>
    </row>
    <row r="146" spans="4:15" ht="15.75">
      <c r="D146" s="114"/>
      <c r="N146" s="204"/>
      <c r="O146" s="204"/>
    </row>
    <row r="147" spans="4:15" ht="15.75">
      <c r="D147" s="113"/>
      <c r="I147" s="39"/>
      <c r="N147" s="207"/>
      <c r="O147" s="207"/>
    </row>
    <row r="148" spans="14:15" ht="15.75">
      <c r="N148" s="204"/>
      <c r="O148" s="20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111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115" sqref="K11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256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252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249</v>
      </c>
      <c r="H4" s="184" t="s">
        <v>250</v>
      </c>
      <c r="I4" s="186" t="s">
        <v>188</v>
      </c>
      <c r="J4" s="188" t="s">
        <v>189</v>
      </c>
      <c r="K4" s="190" t="s">
        <v>254</v>
      </c>
      <c r="L4" s="191"/>
      <c r="M4" s="167"/>
      <c r="N4" s="198" t="s">
        <v>257</v>
      </c>
      <c r="O4" s="186" t="s">
        <v>136</v>
      </c>
      <c r="P4" s="186" t="s">
        <v>135</v>
      </c>
      <c r="Q4" s="190" t="s">
        <v>255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248</v>
      </c>
      <c r="F5" s="181"/>
      <c r="G5" s="183"/>
      <c r="H5" s="185"/>
      <c r="I5" s="187"/>
      <c r="J5" s="189"/>
      <c r="K5" s="192"/>
      <c r="L5" s="193"/>
      <c r="M5" s="151" t="s">
        <v>251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4"/>
      <c r="H138" s="194"/>
      <c r="I138" s="194"/>
      <c r="J138" s="194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5"/>
      <c r="O139" s="195"/>
    </row>
    <row r="140" spans="3:15" ht="15.75">
      <c r="C140" s="120">
        <v>41850</v>
      </c>
      <c r="D140" s="39">
        <v>4320</v>
      </c>
      <c r="F140" s="4" t="s">
        <v>166</v>
      </c>
      <c r="G140" s="196" t="s">
        <v>151</v>
      </c>
      <c r="H140" s="196"/>
      <c r="I140" s="115">
        <f>13825221.96/1000</f>
        <v>13825.22196</v>
      </c>
      <c r="J140" s="197" t="s">
        <v>161</v>
      </c>
      <c r="K140" s="197"/>
      <c r="L140" s="197"/>
      <c r="M140" s="197"/>
      <c r="N140" s="195"/>
      <c r="O140" s="195"/>
    </row>
    <row r="141" spans="3:15" ht="15.75">
      <c r="C141" s="120">
        <v>41849</v>
      </c>
      <c r="D141" s="39">
        <v>4403.7</v>
      </c>
      <c r="G141" s="200" t="s">
        <v>155</v>
      </c>
      <c r="H141" s="200"/>
      <c r="I141" s="112">
        <v>0</v>
      </c>
      <c r="J141" s="201" t="s">
        <v>162</v>
      </c>
      <c r="K141" s="201"/>
      <c r="L141" s="201"/>
      <c r="M141" s="201"/>
      <c r="N141" s="195"/>
      <c r="O141" s="195"/>
    </row>
    <row r="142" spans="7:13" ht="15.75" customHeight="1">
      <c r="G142" s="196" t="s">
        <v>148</v>
      </c>
      <c r="H142" s="196"/>
      <c r="I142" s="112">
        <f>'[1]залишки  (2)'!$G$8/1000</f>
        <v>0</v>
      </c>
      <c r="J142" s="197" t="s">
        <v>163</v>
      </c>
      <c r="K142" s="197"/>
      <c r="L142" s="197"/>
      <c r="M142" s="197"/>
    </row>
    <row r="143" spans="2:13" ht="18.75" customHeight="1">
      <c r="B143" s="202" t="s">
        <v>160</v>
      </c>
      <c r="C143" s="203"/>
      <c r="D143" s="117">
        <f>120856761.09/1000</f>
        <v>120856.76109</v>
      </c>
      <c r="E143" s="80"/>
      <c r="F143" s="100" t="s">
        <v>147</v>
      </c>
      <c r="G143" s="196" t="s">
        <v>149</v>
      </c>
      <c r="H143" s="196"/>
      <c r="I143" s="116">
        <f>107031539.13/1000</f>
        <v>107031.53912999999</v>
      </c>
      <c r="J143" s="197" t="s">
        <v>164</v>
      </c>
      <c r="K143" s="197"/>
      <c r="L143" s="197"/>
      <c r="M143" s="197"/>
    </row>
    <row r="144" spans="7:12" ht="9.75" customHeight="1">
      <c r="G144" s="204"/>
      <c r="H144" s="204"/>
      <c r="I144" s="98"/>
      <c r="J144" s="99"/>
      <c r="K144" s="99"/>
      <c r="L144" s="99"/>
    </row>
    <row r="145" spans="2:12" ht="22.5" customHeight="1">
      <c r="B145" s="205" t="s">
        <v>169</v>
      </c>
      <c r="C145" s="206"/>
      <c r="D145" s="119">
        <f>26199804.73/1000</f>
        <v>26199.80473</v>
      </c>
      <c r="E145" s="77" t="s">
        <v>104</v>
      </c>
      <c r="G145" s="204"/>
      <c r="H145" s="204"/>
      <c r="I145" s="98"/>
      <c r="J145" s="99"/>
      <c r="K145" s="99"/>
      <c r="L145" s="99"/>
    </row>
    <row r="146" spans="4:15" ht="15.75">
      <c r="D146" s="114"/>
      <c r="N146" s="204"/>
      <c r="O146" s="204"/>
    </row>
    <row r="147" spans="4:15" ht="15.75">
      <c r="D147" s="113"/>
      <c r="I147" s="39"/>
      <c r="N147" s="207"/>
      <c r="O147" s="207"/>
    </row>
    <row r="148" spans="14:15" ht="15.75">
      <c r="N148" s="204"/>
      <c r="O148" s="20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68" sqref="H6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246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243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238</v>
      </c>
      <c r="H4" s="184" t="s">
        <v>239</v>
      </c>
      <c r="I4" s="186" t="s">
        <v>188</v>
      </c>
      <c r="J4" s="188" t="s">
        <v>189</v>
      </c>
      <c r="K4" s="190" t="s">
        <v>240</v>
      </c>
      <c r="L4" s="191"/>
      <c r="M4" s="167"/>
      <c r="N4" s="198" t="s">
        <v>247</v>
      </c>
      <c r="O4" s="186" t="s">
        <v>136</v>
      </c>
      <c r="P4" s="186" t="s">
        <v>135</v>
      </c>
      <c r="Q4" s="190" t="s">
        <v>242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237</v>
      </c>
      <c r="F5" s="181"/>
      <c r="G5" s="183"/>
      <c r="H5" s="185"/>
      <c r="I5" s="187"/>
      <c r="J5" s="189"/>
      <c r="K5" s="192"/>
      <c r="L5" s="193"/>
      <c r="M5" s="151" t="s">
        <v>241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4"/>
      <c r="H138" s="194"/>
      <c r="I138" s="194"/>
      <c r="J138" s="194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5"/>
      <c r="O139" s="195"/>
    </row>
    <row r="140" spans="3:15" ht="15.75">
      <c r="C140" s="120">
        <v>41816</v>
      </c>
      <c r="D140" s="39">
        <v>4277.2</v>
      </c>
      <c r="F140" s="4" t="s">
        <v>166</v>
      </c>
      <c r="G140" s="196" t="s">
        <v>151</v>
      </c>
      <c r="H140" s="196"/>
      <c r="I140" s="115">
        <f>'[1]залишки  (2)'!$G$9/1000</f>
        <v>13829.857960000001</v>
      </c>
      <c r="J140" s="197" t="s">
        <v>161</v>
      </c>
      <c r="K140" s="197"/>
      <c r="L140" s="197"/>
      <c r="M140" s="197"/>
      <c r="N140" s="195"/>
      <c r="O140" s="195"/>
    </row>
    <row r="141" spans="3:15" ht="15.75">
      <c r="C141" s="120">
        <v>41815</v>
      </c>
      <c r="D141" s="39">
        <v>1877.7</v>
      </c>
      <c r="G141" s="200" t="s">
        <v>155</v>
      </c>
      <c r="H141" s="200"/>
      <c r="I141" s="112">
        <v>0</v>
      </c>
      <c r="J141" s="201" t="s">
        <v>162</v>
      </c>
      <c r="K141" s="201"/>
      <c r="L141" s="201"/>
      <c r="M141" s="201"/>
      <c r="N141" s="195"/>
      <c r="O141" s="195"/>
    </row>
    <row r="142" spans="7:13" ht="15.75" customHeight="1">
      <c r="G142" s="196" t="s">
        <v>148</v>
      </c>
      <c r="H142" s="196"/>
      <c r="I142" s="112">
        <f>'[1]залишки  (2)'!$G$8/1000</f>
        <v>0</v>
      </c>
      <c r="J142" s="197" t="s">
        <v>163</v>
      </c>
      <c r="K142" s="197"/>
      <c r="L142" s="197"/>
      <c r="M142" s="197"/>
    </row>
    <row r="143" spans="2:13" ht="18.75" customHeight="1">
      <c r="B143" s="202" t="s">
        <v>160</v>
      </c>
      <c r="C143" s="203"/>
      <c r="D143" s="117">
        <v>117976.29</v>
      </c>
      <c r="E143" s="80"/>
      <c r="F143" s="100" t="s">
        <v>147</v>
      </c>
      <c r="G143" s="196" t="s">
        <v>149</v>
      </c>
      <c r="H143" s="196"/>
      <c r="I143" s="116">
        <v>104151.07</v>
      </c>
      <c r="J143" s="197" t="s">
        <v>164</v>
      </c>
      <c r="K143" s="197"/>
      <c r="L143" s="197"/>
      <c r="M143" s="197"/>
    </row>
    <row r="144" spans="7:12" ht="9.75" customHeight="1">
      <c r="G144" s="204"/>
      <c r="H144" s="204"/>
      <c r="I144" s="98"/>
      <c r="J144" s="99"/>
      <c r="K144" s="99"/>
      <c r="L144" s="99"/>
    </row>
    <row r="145" spans="2:12" ht="22.5" customHeight="1">
      <c r="B145" s="205" t="s">
        <v>169</v>
      </c>
      <c r="C145" s="206"/>
      <c r="D145" s="119">
        <v>41386</v>
      </c>
      <c r="E145" s="77" t="s">
        <v>104</v>
      </c>
      <c r="G145" s="204"/>
      <c r="H145" s="204"/>
      <c r="I145" s="98"/>
      <c r="J145" s="99"/>
      <c r="K145" s="99"/>
      <c r="L145" s="99"/>
    </row>
    <row r="146" spans="4:15" ht="15.75">
      <c r="D146" s="114"/>
      <c r="N146" s="204"/>
      <c r="O146" s="204"/>
    </row>
    <row r="147" spans="4:15" ht="15.75">
      <c r="D147" s="113"/>
      <c r="I147" s="39"/>
      <c r="N147" s="207"/>
      <c r="O147" s="207"/>
    </row>
    <row r="148" spans="14:15" ht="15.75">
      <c r="N148" s="204"/>
      <c r="O148" s="20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233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229</v>
      </c>
      <c r="H4" s="184" t="s">
        <v>230</v>
      </c>
      <c r="I4" s="186" t="s">
        <v>188</v>
      </c>
      <c r="J4" s="188" t="s">
        <v>189</v>
      </c>
      <c r="K4" s="190" t="s">
        <v>231</v>
      </c>
      <c r="L4" s="191"/>
      <c r="M4" s="167"/>
      <c r="N4" s="198" t="s">
        <v>236</v>
      </c>
      <c r="O4" s="186" t="s">
        <v>136</v>
      </c>
      <c r="P4" s="186" t="s">
        <v>135</v>
      </c>
      <c r="Q4" s="190" t="s">
        <v>234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228</v>
      </c>
      <c r="F5" s="181"/>
      <c r="G5" s="183"/>
      <c r="H5" s="185"/>
      <c r="I5" s="187"/>
      <c r="J5" s="189"/>
      <c r="K5" s="192"/>
      <c r="L5" s="193"/>
      <c r="M5" s="151" t="s">
        <v>232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5"/>
      <c r="O138" s="195"/>
    </row>
    <row r="139" spans="3:15" ht="15.75">
      <c r="C139" s="120">
        <v>41788</v>
      </c>
      <c r="D139" s="39">
        <v>5993.3</v>
      </c>
      <c r="F139" s="4" t="s">
        <v>166</v>
      </c>
      <c r="G139" s="196" t="s">
        <v>151</v>
      </c>
      <c r="H139" s="196"/>
      <c r="I139" s="115">
        <v>13825.22196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41787</v>
      </c>
      <c r="D140" s="39">
        <v>2595.2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118982.48</v>
      </c>
      <c r="E142" s="80"/>
      <c r="F142" s="100" t="s">
        <v>147</v>
      </c>
      <c r="G142" s="196" t="s">
        <v>149</v>
      </c>
      <c r="H142" s="196"/>
      <c r="I142" s="116">
        <v>105157.26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27359.4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221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217</v>
      </c>
      <c r="H4" s="184" t="s">
        <v>218</v>
      </c>
      <c r="I4" s="186" t="s">
        <v>188</v>
      </c>
      <c r="J4" s="188" t="s">
        <v>189</v>
      </c>
      <c r="K4" s="190" t="s">
        <v>219</v>
      </c>
      <c r="L4" s="191"/>
      <c r="M4" s="167"/>
      <c r="N4" s="198" t="s">
        <v>227</v>
      </c>
      <c r="O4" s="186" t="s">
        <v>136</v>
      </c>
      <c r="P4" s="186" t="s">
        <v>135</v>
      </c>
      <c r="Q4" s="190" t="s">
        <v>222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216</v>
      </c>
      <c r="F5" s="181"/>
      <c r="G5" s="183"/>
      <c r="H5" s="185"/>
      <c r="I5" s="187"/>
      <c r="J5" s="189"/>
      <c r="K5" s="192"/>
      <c r="L5" s="193"/>
      <c r="M5" s="151" t="s">
        <v>220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5"/>
      <c r="O138" s="195"/>
    </row>
    <row r="139" spans="3:15" ht="15.75">
      <c r="C139" s="120">
        <v>41758</v>
      </c>
      <c r="D139" s="39">
        <v>5440.9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41757</v>
      </c>
      <c r="D140" s="39">
        <v>1923.2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123251.48</v>
      </c>
      <c r="E142" s="80"/>
      <c r="F142" s="100" t="s">
        <v>147</v>
      </c>
      <c r="G142" s="196" t="s">
        <v>149</v>
      </c>
      <c r="H142" s="196"/>
      <c r="I142" s="116">
        <v>109426.25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f>'[1]надх'!$B$52/1000</f>
        <v>19862.12187999999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9" t="s">
        <v>212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208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210</v>
      </c>
      <c r="N3" s="168" t="s">
        <v>198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207</v>
      </c>
      <c r="H4" s="184" t="s">
        <v>195</v>
      </c>
      <c r="I4" s="186" t="s">
        <v>188</v>
      </c>
      <c r="J4" s="188" t="s">
        <v>189</v>
      </c>
      <c r="K4" s="190" t="s">
        <v>196</v>
      </c>
      <c r="L4" s="191"/>
      <c r="M4" s="167"/>
      <c r="N4" s="198" t="s">
        <v>213</v>
      </c>
      <c r="O4" s="186" t="s">
        <v>136</v>
      </c>
      <c r="P4" s="186" t="s">
        <v>135</v>
      </c>
      <c r="Q4" s="190" t="s">
        <v>197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214</v>
      </c>
      <c r="F5" s="181"/>
      <c r="G5" s="183"/>
      <c r="H5" s="185"/>
      <c r="I5" s="187"/>
      <c r="J5" s="189"/>
      <c r="K5" s="192"/>
      <c r="L5" s="193"/>
      <c r="M5" s="151" t="s">
        <v>211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5"/>
      <c r="O138" s="195"/>
    </row>
    <row r="139" spans="3:15" ht="15.75">
      <c r="C139" s="120">
        <v>41726</v>
      </c>
      <c r="D139" s="39">
        <v>4682.6</v>
      </c>
      <c r="F139" s="4" t="s">
        <v>166</v>
      </c>
      <c r="G139" s="196" t="s">
        <v>151</v>
      </c>
      <c r="H139" s="196"/>
      <c r="I139" s="115">
        <v>13825.22196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41725</v>
      </c>
      <c r="D140" s="39">
        <v>3360.7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114985.02570999999</v>
      </c>
      <c r="E142" s="80"/>
      <c r="F142" s="100" t="s">
        <v>147</v>
      </c>
      <c r="G142" s="196" t="s">
        <v>149</v>
      </c>
      <c r="H142" s="196"/>
      <c r="I142" s="116">
        <v>101159.80375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3918.1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9" t="s">
        <v>193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209" t="s">
        <v>187</v>
      </c>
      <c r="E3" s="46"/>
      <c r="F3" s="210" t="s">
        <v>107</v>
      </c>
      <c r="G3" s="211"/>
      <c r="H3" s="211"/>
      <c r="I3" s="211"/>
      <c r="J3" s="212"/>
      <c r="K3" s="123"/>
      <c r="L3" s="123"/>
      <c r="M3" s="213" t="s">
        <v>190</v>
      </c>
      <c r="N3" s="208" t="s">
        <v>185</v>
      </c>
      <c r="O3" s="208"/>
      <c r="P3" s="208"/>
      <c r="Q3" s="208"/>
      <c r="R3" s="208"/>
    </row>
    <row r="4" spans="1:18" ht="22.5" customHeight="1">
      <c r="A4" s="171"/>
      <c r="B4" s="173"/>
      <c r="C4" s="174"/>
      <c r="D4" s="209"/>
      <c r="E4" s="214" t="s">
        <v>191</v>
      </c>
      <c r="F4" s="216" t="s">
        <v>116</v>
      </c>
      <c r="G4" s="218" t="s">
        <v>167</v>
      </c>
      <c r="H4" s="184" t="s">
        <v>168</v>
      </c>
      <c r="I4" s="220" t="s">
        <v>188</v>
      </c>
      <c r="J4" s="222" t="s">
        <v>189</v>
      </c>
      <c r="K4" s="125" t="s">
        <v>174</v>
      </c>
      <c r="L4" s="130" t="s">
        <v>173</v>
      </c>
      <c r="M4" s="213"/>
      <c r="N4" s="198" t="s">
        <v>194</v>
      </c>
      <c r="O4" s="220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72"/>
      <c r="B5" s="173"/>
      <c r="C5" s="174"/>
      <c r="D5" s="209"/>
      <c r="E5" s="215"/>
      <c r="F5" s="217"/>
      <c r="G5" s="219"/>
      <c r="H5" s="185"/>
      <c r="I5" s="221"/>
      <c r="J5" s="223"/>
      <c r="K5" s="192" t="s">
        <v>184</v>
      </c>
      <c r="L5" s="193"/>
      <c r="M5" s="213"/>
      <c r="N5" s="199"/>
      <c r="O5" s="221"/>
      <c r="P5" s="208"/>
      <c r="Q5" s="192" t="s">
        <v>199</v>
      </c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5"/>
      <c r="O138" s="195"/>
    </row>
    <row r="139" spans="3:15" ht="15.75">
      <c r="C139" s="120">
        <v>41697</v>
      </c>
      <c r="D139" s="39">
        <v>2276.8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41696</v>
      </c>
      <c r="D140" s="39">
        <v>3746.1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f>'[1]залишки  (2)'!$G$8/1000</f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121970.53</v>
      </c>
      <c r="E142" s="80"/>
      <c r="F142" s="100" t="s">
        <v>147</v>
      </c>
      <c r="G142" s="196" t="s">
        <v>149</v>
      </c>
      <c r="H142" s="196"/>
      <c r="I142" s="116">
        <v>108145.31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0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9" t="s">
        <v>183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209" t="s">
        <v>192</v>
      </c>
      <c r="E3" s="46"/>
      <c r="F3" s="210" t="s">
        <v>107</v>
      </c>
      <c r="G3" s="211"/>
      <c r="H3" s="211"/>
      <c r="I3" s="211"/>
      <c r="J3" s="212"/>
      <c r="K3" s="123"/>
      <c r="L3" s="123"/>
      <c r="M3" s="188" t="s">
        <v>200</v>
      </c>
      <c r="N3" s="208" t="s">
        <v>178</v>
      </c>
      <c r="O3" s="208"/>
      <c r="P3" s="208"/>
      <c r="Q3" s="208"/>
      <c r="R3" s="208"/>
    </row>
    <row r="4" spans="1:18" ht="22.5" customHeight="1">
      <c r="A4" s="171"/>
      <c r="B4" s="173"/>
      <c r="C4" s="174"/>
      <c r="D4" s="209"/>
      <c r="E4" s="214" t="s">
        <v>153</v>
      </c>
      <c r="F4" s="216" t="s">
        <v>116</v>
      </c>
      <c r="G4" s="218" t="s">
        <v>175</v>
      </c>
      <c r="H4" s="184" t="s">
        <v>176</v>
      </c>
      <c r="I4" s="220" t="s">
        <v>188</v>
      </c>
      <c r="J4" s="222" t="s">
        <v>189</v>
      </c>
      <c r="K4" s="125" t="s">
        <v>174</v>
      </c>
      <c r="L4" s="130" t="s">
        <v>173</v>
      </c>
      <c r="M4" s="224"/>
      <c r="N4" s="198" t="s">
        <v>186</v>
      </c>
      <c r="O4" s="220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72"/>
      <c r="B5" s="173"/>
      <c r="C5" s="174"/>
      <c r="D5" s="209"/>
      <c r="E5" s="215"/>
      <c r="F5" s="217"/>
      <c r="G5" s="219"/>
      <c r="H5" s="185"/>
      <c r="I5" s="221"/>
      <c r="J5" s="223"/>
      <c r="K5" s="192" t="s">
        <v>177</v>
      </c>
      <c r="L5" s="193"/>
      <c r="M5" s="189"/>
      <c r="N5" s="199"/>
      <c r="O5" s="221"/>
      <c r="P5" s="208"/>
      <c r="Q5" s="192" t="s">
        <v>179</v>
      </c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5"/>
      <c r="O138" s="195"/>
    </row>
    <row r="139" spans="3:15" ht="15.75">
      <c r="C139" s="120">
        <v>41669</v>
      </c>
      <c r="D139" s="39">
        <v>4752.2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41668</v>
      </c>
      <c r="D140" s="39">
        <v>1984.7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111410.62</v>
      </c>
      <c r="E142" s="80"/>
      <c r="F142" s="100" t="s">
        <v>147</v>
      </c>
      <c r="G142" s="196" t="s">
        <v>149</v>
      </c>
      <c r="H142" s="196"/>
      <c r="I142" s="116">
        <v>97585.4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0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2014-08-27T05:06:06Z</cp:lastPrinted>
  <dcterms:created xsi:type="dcterms:W3CDTF">2003-07-28T11:27:56Z</dcterms:created>
  <dcterms:modified xsi:type="dcterms:W3CDTF">2014-08-27T05:14:59Z</dcterms:modified>
  <cp:category/>
  <cp:version/>
  <cp:contentType/>
  <cp:contentStatus/>
</cp:coreProperties>
</file>